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OwenT\Google Drive\"/>
    </mc:Choice>
  </mc:AlternateContent>
  <bookViews>
    <workbookView xWindow="22944" yWindow="1164" windowWidth="5856" windowHeight="10692" tabRatio="500" xr2:uid="{00000000-000D-0000-FFFF-FFFF00000000}"/>
  </bookViews>
  <sheets>
    <sheet name="Battery Life Calculator v3" sheetId="3" r:id="rId1"/>
    <sheet name="Battery data" sheetId="4" r:id="rId2"/>
    <sheet name="Event charge calculations" sheetId="5" r:id="rId3"/>
  </sheets>
  <definedNames>
    <definedName name="BatTable">'Battery data'!$B$2:$G$6</definedName>
    <definedName name="Batteries">'Battery data'!$B$2:$B$6</definedName>
    <definedName name="ModTable">'Battery data'!$A$10:$C$19</definedName>
    <definedName name="Modules">'Battery data'!$B$10:$C$10</definedName>
  </definedNames>
  <calcPr calcId="171027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5" l="1"/>
  <c r="I4" i="5"/>
  <c r="I5" i="5"/>
  <c r="I2" i="5"/>
  <c r="B24" i="3"/>
  <c r="B25" i="3"/>
  <c r="B26" i="3"/>
  <c r="B23" i="3"/>
  <c r="F3" i="4"/>
  <c r="F4" i="4"/>
  <c r="F5" i="4"/>
  <c r="F6" i="4"/>
  <c r="F2" i="4"/>
  <c r="B17" i="3"/>
  <c r="E31" i="5"/>
  <c r="D31" i="5"/>
  <c r="D34" i="5"/>
  <c r="D35" i="5"/>
  <c r="D36" i="5"/>
  <c r="D37" i="5"/>
  <c r="B43" i="3"/>
  <c r="B49" i="3"/>
  <c r="D23" i="5"/>
  <c r="E16" i="5"/>
  <c r="D16" i="5"/>
  <c r="D24" i="5"/>
  <c r="E18" i="5"/>
  <c r="D18" i="5"/>
  <c r="D25" i="5"/>
  <c r="D26" i="5"/>
  <c r="B37" i="3"/>
  <c r="B48" i="3"/>
  <c r="B31" i="3"/>
  <c r="B47" i="3"/>
  <c r="C34" i="5"/>
  <c r="F34" i="5"/>
  <c r="C35" i="5"/>
  <c r="F35" i="5"/>
  <c r="C36" i="5"/>
  <c r="F36" i="5"/>
  <c r="F37" i="5"/>
  <c r="B44" i="3"/>
  <c r="C23" i="5"/>
  <c r="F23" i="5"/>
  <c r="C24" i="5"/>
  <c r="F24" i="5"/>
  <c r="C25" i="5"/>
  <c r="F25" i="5"/>
  <c r="F26" i="5"/>
  <c r="B38" i="3"/>
  <c r="C7" i="5"/>
  <c r="F7" i="5"/>
  <c r="C8" i="5"/>
  <c r="F8" i="5"/>
  <c r="C9" i="5"/>
  <c r="F9" i="5"/>
  <c r="F10" i="5"/>
  <c r="B32" i="3"/>
  <c r="B19" i="3"/>
  <c r="B56" i="3"/>
  <c r="B30" i="3"/>
  <c r="B51" i="3"/>
  <c r="B52" i="3"/>
  <c r="B53" i="3"/>
  <c r="B50" i="3"/>
  <c r="B54" i="3"/>
  <c r="B57" i="3"/>
  <c r="B18" i="3"/>
  <c r="B58" i="3"/>
  <c r="B67" i="3"/>
  <c r="B68" i="3"/>
  <c r="C44" i="5"/>
  <c r="F44" i="5"/>
  <c r="C45" i="5"/>
  <c r="F45" i="5"/>
  <c r="C46" i="5"/>
  <c r="F46" i="5"/>
  <c r="F47" i="5"/>
  <c r="C63" i="5"/>
  <c r="F63" i="5"/>
  <c r="C64" i="5"/>
  <c r="F64" i="5"/>
  <c r="C65" i="5"/>
  <c r="F65" i="5"/>
  <c r="F66" i="5"/>
  <c r="C85" i="5"/>
  <c r="F85" i="5"/>
  <c r="C86" i="5"/>
  <c r="F86" i="5"/>
  <c r="C87" i="5"/>
  <c r="F87" i="5"/>
  <c r="F88" i="5"/>
  <c r="B64" i="3"/>
  <c r="B63" i="3"/>
  <c r="B65" i="3"/>
  <c r="B66" i="3"/>
  <c r="B69" i="3"/>
  <c r="D86" i="5"/>
  <c r="D87" i="5"/>
  <c r="D85" i="5"/>
  <c r="D88" i="5"/>
  <c r="C84" i="5"/>
  <c r="F84" i="5"/>
  <c r="C83" i="5"/>
  <c r="F83" i="5"/>
  <c r="C82" i="5"/>
  <c r="F82" i="5"/>
  <c r="C81" i="5"/>
  <c r="F81" i="5"/>
  <c r="C80" i="5"/>
  <c r="F80" i="5"/>
  <c r="C78" i="5"/>
  <c r="F78" i="5"/>
  <c r="C79" i="5"/>
  <c r="F79" i="5"/>
  <c r="C77" i="5"/>
  <c r="C75" i="5"/>
  <c r="C74" i="5"/>
  <c r="C73" i="5"/>
  <c r="C71" i="5"/>
  <c r="C70" i="5"/>
  <c r="F70" i="5"/>
  <c r="F71" i="5"/>
  <c r="C72" i="5"/>
  <c r="F72" i="5"/>
  <c r="F73" i="5"/>
  <c r="F74" i="5"/>
  <c r="F75" i="5"/>
  <c r="C76" i="5"/>
  <c r="F76" i="5"/>
  <c r="F77" i="5"/>
  <c r="C69" i="5"/>
  <c r="F69" i="5"/>
  <c r="D63" i="5"/>
  <c r="D64" i="5"/>
  <c r="D65" i="5"/>
  <c r="D66" i="5"/>
  <c r="C62" i="5"/>
  <c r="F62" i="5"/>
  <c r="C61" i="5"/>
  <c r="F61" i="5"/>
  <c r="C60" i="5"/>
  <c r="F60" i="5"/>
  <c r="C58" i="5"/>
  <c r="F58" i="5"/>
  <c r="C53" i="5"/>
  <c r="F53" i="5"/>
  <c r="C54" i="5"/>
  <c r="C55" i="5"/>
  <c r="C56" i="5"/>
  <c r="C57" i="5"/>
  <c r="C59" i="5"/>
  <c r="F55" i="5"/>
  <c r="F56" i="5"/>
  <c r="F57" i="5"/>
  <c r="F59" i="5"/>
  <c r="C52" i="5"/>
  <c r="F52" i="5"/>
  <c r="F54" i="5"/>
  <c r="D44" i="5"/>
  <c r="D45" i="5"/>
  <c r="D46" i="5"/>
  <c r="D47" i="5"/>
  <c r="D7" i="5"/>
  <c r="D8" i="5"/>
  <c r="D9" i="5"/>
  <c r="D10" i="5"/>
  <c r="C51" i="5"/>
  <c r="F51" i="5"/>
  <c r="C50" i="5"/>
  <c r="F50" i="5"/>
  <c r="C41" i="5"/>
  <c r="F41" i="5"/>
  <c r="C42" i="5"/>
  <c r="F42" i="5"/>
  <c r="C43" i="5"/>
  <c r="F43" i="5"/>
  <c r="C40" i="5"/>
  <c r="F40" i="5"/>
  <c r="B55" i="3"/>
  <c r="C31" i="5"/>
  <c r="F31" i="5"/>
  <c r="C29" i="5"/>
  <c r="F29" i="5"/>
  <c r="C30" i="5"/>
  <c r="F30" i="5"/>
  <c r="C32" i="5"/>
  <c r="F32" i="5"/>
  <c r="C33" i="5"/>
  <c r="F33" i="5"/>
  <c r="C22" i="5"/>
  <c r="C21" i="5"/>
  <c r="C20" i="5"/>
  <c r="C19" i="5"/>
  <c r="C18" i="5"/>
  <c r="C17" i="5"/>
  <c r="C16" i="5"/>
  <c r="C15" i="5"/>
  <c r="C14" i="5"/>
  <c r="C13" i="5"/>
  <c r="C6" i="5"/>
  <c r="C5" i="5"/>
  <c r="C4" i="5"/>
  <c r="C3" i="5"/>
  <c r="C2" i="5"/>
  <c r="F13" i="5"/>
  <c r="F14" i="5"/>
  <c r="F15" i="5"/>
  <c r="F16" i="5"/>
  <c r="F17" i="5"/>
  <c r="F18" i="5"/>
  <c r="F19" i="5"/>
  <c r="F20" i="5"/>
  <c r="F21" i="5"/>
  <c r="F22" i="5"/>
  <c r="F2" i="5"/>
  <c r="F3" i="5"/>
  <c r="F4" i="5"/>
  <c r="F5" i="5"/>
  <c r="F6" i="5"/>
  <c r="G6" i="4"/>
  <c r="B16" i="3"/>
  <c r="B15" i="3"/>
  <c r="G4" i="4"/>
  <c r="G5" i="4"/>
  <c r="G2" i="4"/>
  <c r="G3" i="4"/>
</calcChain>
</file>

<file path=xl/sharedStrings.xml><?xml version="1.0" encoding="utf-8"?>
<sst xmlns="http://schemas.openxmlformats.org/spreadsheetml/2006/main" count="306" uniqueCount="127">
  <si>
    <t>Battery Information</t>
  </si>
  <si>
    <t>mAh</t>
  </si>
  <si>
    <t>mA</t>
  </si>
  <si>
    <t>µA</t>
  </si>
  <si>
    <t>Days</t>
  </si>
  <si>
    <t>Number of batteries in series</t>
  </si>
  <si>
    <t>Device Information</t>
  </si>
  <si>
    <t>Average current consumption of device (Id)</t>
  </si>
  <si>
    <t>Notes about this battery calculator</t>
  </si>
  <si>
    <t>Shaded cells indicate values to be populated for your specific batteries/device</t>
  </si>
  <si>
    <t>MMB NETWORKS ZIGBEE DEVICE BATTERY CALCULATOR</t>
  </si>
  <si>
    <t>Image Size</t>
  </si>
  <si>
    <t>kB</t>
  </si>
  <si>
    <t>Number of Block Request/Response pairs required</t>
  </si>
  <si>
    <t>Battery Type</t>
  </si>
  <si>
    <t>AA Alkaline</t>
  </si>
  <si>
    <t>AA NiMH</t>
  </si>
  <si>
    <t>Batteries:</t>
  </si>
  <si>
    <t>Type</t>
  </si>
  <si>
    <t>Self-discharge (%/mo)</t>
  </si>
  <si>
    <t>Total capacity (mAh)</t>
  </si>
  <si>
    <t>Usable capacity (mAh)*</t>
  </si>
  <si>
    <t>Self-discharge current (uA)</t>
  </si>
  <si>
    <t>Self-discharge rate</t>
  </si>
  <si>
    <t>%/mo</t>
  </si>
  <si>
    <t>Number of batteries required to produce 3 V nominal.  Does not affect life estimate.</t>
  </si>
  <si>
    <t>AAA NiMH</t>
  </si>
  <si>
    <t>Total battery capacity</t>
  </si>
  <si>
    <t>AAA Akaline</t>
  </si>
  <si>
    <t>Wakeup</t>
  </si>
  <si>
    <t>Listen</t>
  </si>
  <si>
    <t>Send Poll</t>
  </si>
  <si>
    <t>Processing</t>
  </si>
  <si>
    <t>Sleep</t>
  </si>
  <si>
    <t>Mode</t>
  </si>
  <si>
    <t>Idle</t>
  </si>
  <si>
    <t>RX</t>
  </si>
  <si>
    <t>TX</t>
  </si>
  <si>
    <t>Duration (ms)</t>
  </si>
  <si>
    <t>Listen for data</t>
  </si>
  <si>
    <t>Send ACK</t>
  </si>
  <si>
    <t>Bytes</t>
  </si>
  <si>
    <t>Send data</t>
  </si>
  <si>
    <t>Charge (uC)</t>
  </si>
  <si>
    <t>Poll without message</t>
  </si>
  <si>
    <t>Current consumption (mA)</t>
  </si>
  <si>
    <t>Current (mA)</t>
  </si>
  <si>
    <t>Poll with unicast reception</t>
  </si>
  <si>
    <t>Unicast data transmission</t>
  </si>
  <si>
    <t>Receive mode</t>
  </si>
  <si>
    <t>Transmit mode</t>
  </si>
  <si>
    <t>Excluding Zigbee events.</t>
  </si>
  <si>
    <t>Deep sleep mode</t>
  </si>
  <si>
    <t>Device current consumption</t>
  </si>
  <si>
    <t>ms</t>
  </si>
  <si>
    <t>Polling interval</t>
  </si>
  <si>
    <t>s</t>
  </si>
  <si>
    <t>Zigbee Events: Poll, no message</t>
  </si>
  <si>
    <t>Zigbee Events: Poll with message</t>
  </si>
  <si>
    <t>*The CR2032 coin cell is not recommended due to high internal resistance.  Large voltage droop in TX mode is likely to cause resets.</t>
  </si>
  <si>
    <t>Charge used per poll</t>
  </si>
  <si>
    <t>µC</t>
  </si>
  <si>
    <t>Message size</t>
  </si>
  <si>
    <t>Messages/hour</t>
  </si>
  <si>
    <t>***Assumes APS ACK is disabled.</t>
  </si>
  <si>
    <t>Charge used per poll with message</t>
  </si>
  <si>
    <t>Transmission size</t>
  </si>
  <si>
    <t>Transmissions/hour</t>
  </si>
  <si>
    <t>Charge used per data transmission</t>
  </si>
  <si>
    <t>Zigbee Events: Data transmission***</t>
  </si>
  <si>
    <t>Idle/MCU mode</t>
  </si>
  <si>
    <t>Poll, no message per hour</t>
  </si>
  <si>
    <t>This should be &lt;7.5 sec to ensure that no messages are missed (because Parents only need to cache messages for a minimum of 7.68 sec)</t>
  </si>
  <si>
    <t>CR2032 coin cell*</t>
  </si>
  <si>
    <t>Usable battery capacity**</t>
  </si>
  <si>
    <t>**Usable capacity estimate is based on typical discharge curves and 2.7 V minimum recommended voltage for Hornet module.</t>
  </si>
  <si>
    <t>Total time asleep</t>
  </si>
  <si>
    <t>Charge usage per hour</t>
  </si>
  <si>
    <t>Charge used: Poll with message</t>
  </si>
  <si>
    <t>Charge used: Data transmission</t>
  </si>
  <si>
    <t>Charge used: Sleep</t>
  </si>
  <si>
    <t>Charge used: Device current</t>
  </si>
  <si>
    <t>Total time: Poll without message</t>
  </si>
  <si>
    <t>Total time: Poll with message</t>
  </si>
  <si>
    <t>Total time: Data transmission</t>
  </si>
  <si>
    <t>Charge used: Poll without message</t>
  </si>
  <si>
    <t>Total charge used per hour</t>
  </si>
  <si>
    <t>h</t>
  </si>
  <si>
    <t>days</t>
  </si>
  <si>
    <t>Image block request</t>
  </si>
  <si>
    <t>Transmit</t>
  </si>
  <si>
    <t>Send request</t>
  </si>
  <si>
    <t>Total TX</t>
  </si>
  <si>
    <t>Total RX</t>
  </si>
  <si>
    <t>Total Idle</t>
  </si>
  <si>
    <t>Grand Total</t>
  </si>
  <si>
    <t>Receive APS ACK</t>
  </si>
  <si>
    <t>Send MAC request</t>
  </si>
  <si>
    <t>Transmit MAC ACK</t>
  </si>
  <si>
    <t>Receive image block</t>
  </si>
  <si>
    <t>Send APS ACK</t>
  </si>
  <si>
    <t>Image block response &amp; APS ACK</t>
  </si>
  <si>
    <t>OTA firmware upgrades</t>
  </si>
  <si>
    <t>Estimated life, neglecting upgrades</t>
  </si>
  <si>
    <t>Firmware upgrade cycle time</t>
  </si>
  <si>
    <t>Total charge used per upgrade</t>
  </si>
  <si>
    <t>Estimated life, neglecting firmware upgrades</t>
  </si>
  <si>
    <t>Charge used per day, normal operation</t>
  </si>
  <si>
    <t>Estimated life, including upgrades</t>
  </si>
  <si>
    <t>Number of upgrades expected during lifecycle</t>
  </si>
  <si>
    <t>Charge used per pair</t>
  </si>
  <si>
    <t>uA</t>
  </si>
  <si>
    <t>Self-discharge current</t>
  </si>
  <si>
    <t>Length of poll event</t>
  </si>
  <si>
    <t>Length of poll with message event</t>
  </si>
  <si>
    <t>Length of data transmission event</t>
  </si>
  <si>
    <t>Charge used: Battery self-discharge</t>
  </si>
  <si>
    <t>Module</t>
  </si>
  <si>
    <t>Zigbee module</t>
  </si>
  <si>
    <t>TX current (mA)</t>
  </si>
  <si>
    <t>RX current (mA)</t>
  </si>
  <si>
    <t>Idle current (mA)</t>
  </si>
  <si>
    <t>Sleep current (uA)</t>
  </si>
  <si>
    <t>Z357PA40</t>
  </si>
  <si>
    <t>BSB03PA10</t>
  </si>
  <si>
    <t>Based on minimum operating voltage: 2.7 V for Z357PA40, 2.0 V for BSB03PA10.</t>
  </si>
  <si>
    <t>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</si>
</sst>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3" borderId="0" xfId="0" applyFont="1" applyFill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2" borderId="0" xfId="0" applyFont="1" applyFill="1" applyAlignment="1">
      <alignment wrapText="1"/>
    </xf>
    <xf numFmtId="0" fontId="4" fillId="0" borderId="0" xfId="0" applyFont="1" applyFill="1"/>
    <xf numFmtId="0" fontId="4" fillId="2" borderId="0" xfId="0" applyFont="1" applyFill="1"/>
    <xf numFmtId="9" fontId="4" fillId="0" borderId="0" xfId="1" applyFont="1"/>
    <xf numFmtId="0" fontId="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5EA52-C661-426A-807B-4078B20EF9DE}">
  <dimension ref="A1:G73"/>
  <sheetViews>
    <sheetView tabSelected="1" topLeftCell="A13" workbookViewId="0">
      <selection activeCell="F49" sqref="F49:F50"/>
    </sheetView>
  </sheetViews>
  <sheetFormatPr defaultRowHeight="15.6" x14ac:dyDescent="0.3"/>
  <cols>
    <col min="1" max="1" width="45.09765625" style="3" customWidth="1"/>
    <col min="2" max="2" width="17.3984375" style="3" customWidth="1"/>
    <col min="3" max="16384" width="8.796875" style="3"/>
  </cols>
  <sheetData>
    <row r="1" spans="1:7" x14ac:dyDescent="0.3">
      <c r="A1" s="2" t="s">
        <v>10</v>
      </c>
      <c r="B1" s="2"/>
      <c r="C1" s="2"/>
      <c r="D1" s="2"/>
      <c r="E1" s="2"/>
      <c r="F1" s="2"/>
      <c r="G1" s="2"/>
    </row>
    <row r="2" spans="1:7" x14ac:dyDescent="0.3">
      <c r="A2" s="2"/>
      <c r="B2" s="2"/>
      <c r="C2" s="2"/>
      <c r="D2" s="2"/>
      <c r="E2" s="2"/>
      <c r="F2" s="2"/>
      <c r="G2" s="2"/>
    </row>
    <row r="3" spans="1:7" x14ac:dyDescent="0.3">
      <c r="A3" s="2"/>
      <c r="B3" s="2"/>
      <c r="C3" s="2"/>
      <c r="D3" s="2"/>
      <c r="E3" s="2"/>
      <c r="F3" s="2"/>
      <c r="G3" s="2"/>
    </row>
    <row r="4" spans="1:7" x14ac:dyDescent="0.3">
      <c r="A4" s="2"/>
      <c r="B4" s="2"/>
      <c r="C4" s="2"/>
      <c r="D4" s="2"/>
      <c r="E4" s="2"/>
      <c r="F4" s="2"/>
      <c r="G4" s="2"/>
    </row>
    <row r="6" spans="1:7" x14ac:dyDescent="0.3">
      <c r="A6" s="4" t="s">
        <v>8</v>
      </c>
    </row>
    <row r="7" spans="1:7" ht="31.2" x14ac:dyDescent="0.3">
      <c r="A7" s="5" t="s">
        <v>9</v>
      </c>
      <c r="B7" s="6"/>
    </row>
    <row r="10" spans="1:7" x14ac:dyDescent="0.3">
      <c r="A10" s="4" t="s">
        <v>6</v>
      </c>
    </row>
    <row r="11" spans="1:7" x14ac:dyDescent="0.3">
      <c r="A11" s="3" t="s">
        <v>7</v>
      </c>
      <c r="B11" s="7">
        <v>0.08</v>
      </c>
      <c r="C11" s="3" t="s">
        <v>2</v>
      </c>
      <c r="D11" s="3" t="s">
        <v>51</v>
      </c>
    </row>
    <row r="13" spans="1:7" x14ac:dyDescent="0.3">
      <c r="A13" s="4" t="s">
        <v>0</v>
      </c>
    </row>
    <row r="14" spans="1:7" x14ac:dyDescent="0.3">
      <c r="A14" s="3" t="s">
        <v>14</v>
      </c>
      <c r="B14" s="7" t="s">
        <v>15</v>
      </c>
    </row>
    <row r="15" spans="1:7" x14ac:dyDescent="0.3">
      <c r="A15" s="3" t="s">
        <v>27</v>
      </c>
      <c r="B15" s="6">
        <f>VLOOKUP(B14,BatTable,2,FALSE)</f>
        <v>3000</v>
      </c>
      <c r="C15" s="3" t="s">
        <v>1</v>
      </c>
    </row>
    <row r="16" spans="1:7" x14ac:dyDescent="0.3">
      <c r="A16" s="3" t="s">
        <v>5</v>
      </c>
      <c r="B16" s="6">
        <f>VLOOKUP(B14,BatTable,3,FALSE)</f>
        <v>2</v>
      </c>
      <c r="D16" s="3" t="s">
        <v>25</v>
      </c>
    </row>
    <row r="17" spans="1:4" x14ac:dyDescent="0.3">
      <c r="A17" s="3" t="s">
        <v>23</v>
      </c>
      <c r="B17" s="6">
        <f>VLOOKUP(B14,BatTable,4,FALSE)</f>
        <v>0.3</v>
      </c>
      <c r="C17" s="3" t="s">
        <v>24</v>
      </c>
    </row>
    <row r="18" spans="1:4" x14ac:dyDescent="0.3">
      <c r="A18" s="3" t="s">
        <v>74</v>
      </c>
      <c r="B18" s="6">
        <f>VLOOKUP(B14,BatTable,5,FALSE)</f>
        <v>1250</v>
      </c>
      <c r="C18" s="3" t="s">
        <v>1</v>
      </c>
      <c r="D18" s="3" t="s">
        <v>125</v>
      </c>
    </row>
    <row r="19" spans="1:4" x14ac:dyDescent="0.3">
      <c r="A19" s="3" t="s">
        <v>112</v>
      </c>
      <c r="B19" s="6">
        <f>VLOOKUP(B14,BatTable,6,FALSE)</f>
        <v>12.5</v>
      </c>
      <c r="C19" s="3" t="s">
        <v>111</v>
      </c>
    </row>
    <row r="21" spans="1:4" x14ac:dyDescent="0.3">
      <c r="A21" s="4" t="s">
        <v>53</v>
      </c>
    </row>
    <row r="22" spans="1:4" x14ac:dyDescent="0.3">
      <c r="A22" s="3" t="s">
        <v>118</v>
      </c>
      <c r="B22" s="7" t="s">
        <v>123</v>
      </c>
    </row>
    <row r="23" spans="1:4" x14ac:dyDescent="0.3">
      <c r="A23" s="3" t="s">
        <v>50</v>
      </c>
      <c r="B23" s="3">
        <f>HLOOKUP('Battery Life Calculator v3'!$B$22, ModTable, 'Battery data'!D11, FALSE)</f>
        <v>175</v>
      </c>
      <c r="C23" s="3" t="s">
        <v>2</v>
      </c>
      <c r="D23" s="8"/>
    </row>
    <row r="24" spans="1:4" x14ac:dyDescent="0.3">
      <c r="A24" s="3" t="s">
        <v>49</v>
      </c>
      <c r="B24" s="3">
        <f>HLOOKUP('Battery Life Calculator v3'!$B$22, ModTable, 'Battery data'!D12, FALSE)</f>
        <v>32</v>
      </c>
      <c r="C24" s="3" t="s">
        <v>2</v>
      </c>
      <c r="D24" s="8"/>
    </row>
    <row r="25" spans="1:4" x14ac:dyDescent="0.3">
      <c r="A25" s="3" t="s">
        <v>70</v>
      </c>
      <c r="B25" s="3">
        <f>HLOOKUP('Battery Life Calculator v3'!$B$22, ModTable, 'Battery data'!D13, FALSE)</f>
        <v>13</v>
      </c>
      <c r="C25" s="3" t="s">
        <v>2</v>
      </c>
      <c r="D25" s="8"/>
    </row>
    <row r="26" spans="1:4" x14ac:dyDescent="0.3">
      <c r="A26" s="3" t="s">
        <v>52</v>
      </c>
      <c r="B26" s="3">
        <f>HLOOKUP('Battery Life Calculator v3'!$B$22, ModTable, 'Battery data'!D14, FALSE)</f>
        <v>0.65</v>
      </c>
      <c r="C26" s="9" t="s">
        <v>3</v>
      </c>
    </row>
    <row r="27" spans="1:4" x14ac:dyDescent="0.3">
      <c r="D27" s="8"/>
    </row>
    <row r="28" spans="1:4" x14ac:dyDescent="0.3">
      <c r="A28" s="4" t="s">
        <v>57</v>
      </c>
    </row>
    <row r="29" spans="1:4" x14ac:dyDescent="0.3">
      <c r="A29" s="3" t="s">
        <v>55</v>
      </c>
      <c r="B29" s="7">
        <v>7.5</v>
      </c>
      <c r="C29" s="3" t="s">
        <v>56</v>
      </c>
      <c r="D29" s="3" t="s">
        <v>72</v>
      </c>
    </row>
    <row r="30" spans="1:4" x14ac:dyDescent="0.3">
      <c r="A30" s="3" t="s">
        <v>71</v>
      </c>
      <c r="B30" s="3">
        <f>3600/B29-B36</f>
        <v>480</v>
      </c>
    </row>
    <row r="31" spans="1:4" x14ac:dyDescent="0.3">
      <c r="A31" s="3" t="s">
        <v>113</v>
      </c>
      <c r="B31" s="3">
        <f>'Event charge calculations'!D10</f>
        <v>5.2</v>
      </c>
      <c r="C31" s="3" t="s">
        <v>54</v>
      </c>
    </row>
    <row r="32" spans="1:4" x14ac:dyDescent="0.3">
      <c r="A32" s="3" t="s">
        <v>60</v>
      </c>
      <c r="B32" s="3">
        <f>'Event charge calculations'!F10</f>
        <v>220</v>
      </c>
      <c r="C32" s="3" t="s">
        <v>61</v>
      </c>
    </row>
    <row r="34" spans="1:3" x14ac:dyDescent="0.3">
      <c r="A34" s="4" t="s">
        <v>58</v>
      </c>
    </row>
    <row r="35" spans="1:3" x14ac:dyDescent="0.3">
      <c r="A35" s="3" t="s">
        <v>62</v>
      </c>
      <c r="B35" s="7">
        <v>1</v>
      </c>
      <c r="C35" s="3" t="s">
        <v>41</v>
      </c>
    </row>
    <row r="36" spans="1:3" x14ac:dyDescent="0.3">
      <c r="A36" s="3" t="s">
        <v>63</v>
      </c>
      <c r="B36" s="7">
        <v>0</v>
      </c>
    </row>
    <row r="37" spans="1:3" x14ac:dyDescent="0.3">
      <c r="A37" s="3" t="s">
        <v>114</v>
      </c>
      <c r="B37" s="3">
        <f>'Event charge calculations'!D26</f>
        <v>14.896000000000001</v>
      </c>
      <c r="C37" s="3" t="s">
        <v>54</v>
      </c>
    </row>
    <row r="38" spans="1:3" x14ac:dyDescent="0.3">
      <c r="A38" s="3" t="s">
        <v>65</v>
      </c>
      <c r="B38" s="3">
        <f>'Event charge calculations'!F26</f>
        <v>855.25600000000009</v>
      </c>
      <c r="C38" s="3" t="s">
        <v>61</v>
      </c>
    </row>
    <row r="40" spans="1:3" x14ac:dyDescent="0.3">
      <c r="A40" s="4" t="s">
        <v>69</v>
      </c>
    </row>
    <row r="41" spans="1:3" x14ac:dyDescent="0.3">
      <c r="A41" s="3" t="s">
        <v>66</v>
      </c>
      <c r="B41" s="7">
        <v>20</v>
      </c>
      <c r="C41" s="3" t="s">
        <v>41</v>
      </c>
    </row>
    <row r="42" spans="1:3" x14ac:dyDescent="0.3">
      <c r="A42" s="3" t="s">
        <v>67</v>
      </c>
      <c r="B42" s="7">
        <v>60</v>
      </c>
    </row>
    <row r="43" spans="1:3" x14ac:dyDescent="0.3">
      <c r="A43" s="3" t="s">
        <v>115</v>
      </c>
      <c r="B43" s="3">
        <f>'Event charge calculations'!D37</f>
        <v>9.0400000000000009</v>
      </c>
      <c r="C43" s="3" t="s">
        <v>54</v>
      </c>
    </row>
    <row r="44" spans="1:3" x14ac:dyDescent="0.3">
      <c r="A44" s="3" t="s">
        <v>68</v>
      </c>
      <c r="B44" s="3">
        <f>'Event charge calculations'!F37</f>
        <v>535.6</v>
      </c>
      <c r="C44" s="3" t="s">
        <v>61</v>
      </c>
    </row>
    <row r="46" spans="1:3" x14ac:dyDescent="0.3">
      <c r="A46" s="4" t="s">
        <v>77</v>
      </c>
    </row>
    <row r="47" spans="1:3" x14ac:dyDescent="0.3">
      <c r="A47" s="3" t="s">
        <v>82</v>
      </c>
      <c r="B47" s="3">
        <f>B30*B31</f>
        <v>2496</v>
      </c>
      <c r="C47" s="3" t="s">
        <v>54</v>
      </c>
    </row>
    <row r="48" spans="1:3" x14ac:dyDescent="0.3">
      <c r="A48" s="3" t="s">
        <v>83</v>
      </c>
      <c r="B48" s="3">
        <f>B36*B37</f>
        <v>0</v>
      </c>
      <c r="C48" s="3" t="s">
        <v>54</v>
      </c>
    </row>
    <row r="49" spans="1:3" x14ac:dyDescent="0.3">
      <c r="A49" s="3" t="s">
        <v>84</v>
      </c>
      <c r="B49" s="3">
        <f>B42*B43</f>
        <v>542.40000000000009</v>
      </c>
      <c r="C49" s="3" t="s">
        <v>54</v>
      </c>
    </row>
    <row r="50" spans="1:3" x14ac:dyDescent="0.3">
      <c r="A50" s="3" t="s">
        <v>76</v>
      </c>
      <c r="B50" s="3">
        <f>3600-(SUM(B47:B49)/1000)</f>
        <v>3596.9616000000001</v>
      </c>
      <c r="C50" s="3" t="s">
        <v>56</v>
      </c>
    </row>
    <row r="51" spans="1:3" x14ac:dyDescent="0.3">
      <c r="A51" s="3" t="s">
        <v>85</v>
      </c>
      <c r="B51" s="3">
        <f>B30*B32</f>
        <v>105600</v>
      </c>
      <c r="C51" s="3" t="s">
        <v>61</v>
      </c>
    </row>
    <row r="52" spans="1:3" x14ac:dyDescent="0.3">
      <c r="A52" s="3" t="s">
        <v>78</v>
      </c>
      <c r="B52" s="3">
        <f>B36*B38</f>
        <v>0</v>
      </c>
      <c r="C52" s="3" t="s">
        <v>61</v>
      </c>
    </row>
    <row r="53" spans="1:3" x14ac:dyDescent="0.3">
      <c r="A53" s="3" t="s">
        <v>79</v>
      </c>
      <c r="B53" s="3">
        <f>B42*B44</f>
        <v>32136</v>
      </c>
      <c r="C53" s="3" t="s">
        <v>61</v>
      </c>
    </row>
    <row r="54" spans="1:3" x14ac:dyDescent="0.3">
      <c r="A54" s="3" t="s">
        <v>80</v>
      </c>
      <c r="B54" s="3">
        <f>B26*B50</f>
        <v>2338.02504</v>
      </c>
      <c r="C54" s="3" t="s">
        <v>61</v>
      </c>
    </row>
    <row r="55" spans="1:3" x14ac:dyDescent="0.3">
      <c r="A55" s="3" t="s">
        <v>81</v>
      </c>
      <c r="B55" s="3">
        <f>B11*3600*1000</f>
        <v>288000</v>
      </c>
      <c r="C55" s="3" t="s">
        <v>61</v>
      </c>
    </row>
    <row r="56" spans="1:3" x14ac:dyDescent="0.3">
      <c r="A56" s="3" t="s">
        <v>116</v>
      </c>
      <c r="B56" s="3">
        <f>B19*3600</f>
        <v>45000</v>
      </c>
      <c r="C56" s="3" t="s">
        <v>61</v>
      </c>
    </row>
    <row r="57" spans="1:3" x14ac:dyDescent="0.3">
      <c r="A57" s="3" t="s">
        <v>86</v>
      </c>
      <c r="B57" s="3">
        <f>SUM(B51:B56)/3600000</f>
        <v>0.13140945139999999</v>
      </c>
      <c r="C57" s="3" t="s">
        <v>1</v>
      </c>
    </row>
    <row r="58" spans="1:3" x14ac:dyDescent="0.3">
      <c r="A58" s="4" t="s">
        <v>106</v>
      </c>
      <c r="B58" s="4">
        <f>B18/B57</f>
        <v>9512.2533933658906</v>
      </c>
      <c r="C58" s="4" t="s">
        <v>87</v>
      </c>
    </row>
    <row r="60" spans="1:3" x14ac:dyDescent="0.3">
      <c r="A60" s="4" t="s">
        <v>102</v>
      </c>
    </row>
    <row r="61" spans="1:3" x14ac:dyDescent="0.3">
      <c r="A61" s="3" t="s">
        <v>104</v>
      </c>
      <c r="B61" s="7">
        <v>180</v>
      </c>
      <c r="C61" s="3" t="s">
        <v>4</v>
      </c>
    </row>
    <row r="62" spans="1:3" x14ac:dyDescent="0.3">
      <c r="A62" s="3" t="s">
        <v>11</v>
      </c>
      <c r="B62" s="7">
        <v>160</v>
      </c>
      <c r="C62" s="3" t="s">
        <v>12</v>
      </c>
    </row>
    <row r="63" spans="1:3" x14ac:dyDescent="0.3">
      <c r="A63" s="3" t="s">
        <v>13</v>
      </c>
      <c r="B63" s="3">
        <f>B62*1000/50</f>
        <v>3200</v>
      </c>
    </row>
    <row r="64" spans="1:3" x14ac:dyDescent="0.3">
      <c r="A64" s="3" t="s">
        <v>110</v>
      </c>
      <c r="B64" s="3">
        <f>SUM('Event charge calculations'!F47,'Event charge calculations'!F66,'Event charge calculations'!F88)</f>
        <v>2493.4</v>
      </c>
      <c r="C64" s="3" t="s">
        <v>61</v>
      </c>
    </row>
    <row r="65" spans="1:4" x14ac:dyDescent="0.3">
      <c r="A65" s="3" t="s">
        <v>105</v>
      </c>
      <c r="B65" s="3">
        <f>B63*B64/3600000</f>
        <v>2.2163555555555554</v>
      </c>
      <c r="C65" s="3" t="s">
        <v>1</v>
      </c>
    </row>
    <row r="66" spans="1:4" x14ac:dyDescent="0.3">
      <c r="A66" s="3" t="s">
        <v>107</v>
      </c>
      <c r="B66" s="3">
        <f>24*B57</f>
        <v>3.1538268335999997</v>
      </c>
      <c r="C66" s="3" t="s">
        <v>1</v>
      </c>
    </row>
    <row r="67" spans="1:4" x14ac:dyDescent="0.3">
      <c r="A67" s="3" t="s">
        <v>103</v>
      </c>
      <c r="B67" s="3">
        <f>B58/24</f>
        <v>396.34389139024546</v>
      </c>
      <c r="C67" s="3" t="s">
        <v>88</v>
      </c>
    </row>
    <row r="68" spans="1:4" x14ac:dyDescent="0.3">
      <c r="A68" s="3" t="s">
        <v>109</v>
      </c>
      <c r="B68" s="3">
        <f>QUOTIENT(B67,B61)</f>
        <v>2</v>
      </c>
    </row>
    <row r="69" spans="1:4" x14ac:dyDescent="0.3">
      <c r="A69" s="4" t="s">
        <v>108</v>
      </c>
      <c r="B69" s="4">
        <f>(B18-B68*B65)/B66</f>
        <v>394.93838901329622</v>
      </c>
      <c r="C69" s="4" t="s">
        <v>88</v>
      </c>
      <c r="D69" s="4"/>
    </row>
    <row r="71" spans="1:4" x14ac:dyDescent="0.3">
      <c r="A71" s="3" t="s">
        <v>59</v>
      </c>
    </row>
    <row r="72" spans="1:4" x14ac:dyDescent="0.3">
      <c r="A72" s="3" t="s">
        <v>75</v>
      </c>
    </row>
    <row r="73" spans="1:4" x14ac:dyDescent="0.3">
      <c r="A73" s="3" t="s">
        <v>64</v>
      </c>
    </row>
  </sheetData>
  <mergeCells count="1">
    <mergeCell ref="A1:G4"/>
  </mergeCells>
  <dataValidations count="2">
    <dataValidation type="list" showInputMessage="1" showErrorMessage="1" errorTitle="Invalid battery type" error="Please select a battery type from the list" sqref="B14" xr:uid="{A57599C1-962D-40F2-A790-ECC75CFE0E7D}">
      <formula1>Batteries</formula1>
    </dataValidation>
    <dataValidation type="list" allowBlank="1" showInputMessage="1" showErrorMessage="1" sqref="B22" xr:uid="{CEFC9E64-59D3-4780-B2D7-1DE7B8D7BECB}">
      <formula1>Modules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D4418-3D99-4E86-9265-3FF7BD74B198}">
  <dimension ref="A1:G19"/>
  <sheetViews>
    <sheetView workbookViewId="0">
      <selection activeCell="C5" sqref="C5"/>
    </sheetView>
  </sheetViews>
  <sheetFormatPr defaultRowHeight="15.6" x14ac:dyDescent="0.3"/>
  <sheetData>
    <row r="1" spans="1:7" x14ac:dyDescent="0.3">
      <c r="B1" t="s">
        <v>18</v>
      </c>
      <c r="C1" t="s">
        <v>20</v>
      </c>
      <c r="D1" t="s">
        <v>5</v>
      </c>
      <c r="E1" t="s">
        <v>19</v>
      </c>
      <c r="F1" t="s">
        <v>21</v>
      </c>
      <c r="G1" t="s">
        <v>22</v>
      </c>
    </row>
    <row r="2" spans="1:7" x14ac:dyDescent="0.3">
      <c r="A2" t="s">
        <v>17</v>
      </c>
      <c r="B2" t="s">
        <v>15</v>
      </c>
      <c r="C2">
        <v>3000</v>
      </c>
      <c r="D2">
        <v>2</v>
      </c>
      <c r="E2">
        <v>0.3</v>
      </c>
      <c r="F2">
        <f>HLOOKUP('Battery Life Calculator v3'!$B$22, ModTable, D15, FALSE)</f>
        <v>1250</v>
      </c>
      <c r="G2">
        <f>(1000*C2)*(E2/100)/(30*24)</f>
        <v>12.5</v>
      </c>
    </row>
    <row r="3" spans="1:7" x14ac:dyDescent="0.3">
      <c r="B3" t="s">
        <v>28</v>
      </c>
      <c r="C3">
        <v>1200</v>
      </c>
      <c r="D3">
        <v>2</v>
      </c>
      <c r="E3">
        <v>0.3</v>
      </c>
      <c r="F3">
        <f>HLOOKUP('Battery Life Calculator v3'!$B$22, ModTable, D16, FALSE)</f>
        <v>300</v>
      </c>
      <c r="G3">
        <f>(1000*C3)*(E3/100)/(30*24)</f>
        <v>5</v>
      </c>
    </row>
    <row r="4" spans="1:7" x14ac:dyDescent="0.3">
      <c r="B4" t="s">
        <v>16</v>
      </c>
      <c r="C4">
        <v>2400</v>
      </c>
      <c r="D4">
        <v>2</v>
      </c>
      <c r="E4">
        <v>30</v>
      </c>
      <c r="F4">
        <f>HLOOKUP('Battery Life Calculator v3'!$B$22, ModTable, D17, FALSE)</f>
        <v>240</v>
      </c>
      <c r="G4">
        <f>(1000*C4)*(E4/100)/(30*24)</f>
        <v>1000</v>
      </c>
    </row>
    <row r="5" spans="1:7" x14ac:dyDescent="0.3">
      <c r="B5" t="s">
        <v>26</v>
      </c>
      <c r="C5">
        <v>1100</v>
      </c>
      <c r="D5">
        <v>1</v>
      </c>
      <c r="E5">
        <v>30</v>
      </c>
      <c r="F5">
        <f>HLOOKUP('Battery Life Calculator v3'!$B$22, ModTable, D18, FALSE)</f>
        <v>100</v>
      </c>
      <c r="G5">
        <f>(1000*C5)*(E5/100)/(30*24)</f>
        <v>458.33333333333331</v>
      </c>
    </row>
    <row r="6" spans="1:7" x14ac:dyDescent="0.3">
      <c r="B6" t="s">
        <v>73</v>
      </c>
      <c r="C6">
        <v>225</v>
      </c>
      <c r="D6">
        <v>1</v>
      </c>
      <c r="E6">
        <v>0.08</v>
      </c>
      <c r="F6">
        <f>HLOOKUP('Battery Life Calculator v3'!$B$22, ModTable, D19, FALSE)</f>
        <v>150</v>
      </c>
      <c r="G6">
        <f>(1000*C6)*(E6/100)/(30*24)</f>
        <v>0.25</v>
      </c>
    </row>
    <row r="9" spans="1:7" x14ac:dyDescent="0.3">
      <c r="D9" t="s">
        <v>126</v>
      </c>
    </row>
    <row r="10" spans="1:7" x14ac:dyDescent="0.3">
      <c r="A10" t="s">
        <v>117</v>
      </c>
      <c r="B10" t="s">
        <v>123</v>
      </c>
      <c r="C10" t="s">
        <v>124</v>
      </c>
      <c r="D10">
        <v>1</v>
      </c>
    </row>
    <row r="11" spans="1:7" x14ac:dyDescent="0.3">
      <c r="A11" t="s">
        <v>119</v>
      </c>
      <c r="B11">
        <v>175</v>
      </c>
      <c r="C11">
        <v>130</v>
      </c>
      <c r="D11">
        <v>2</v>
      </c>
    </row>
    <row r="12" spans="1:7" x14ac:dyDescent="0.3">
      <c r="A12" t="s">
        <v>120</v>
      </c>
      <c r="B12">
        <v>32</v>
      </c>
      <c r="C12">
        <v>13</v>
      </c>
      <c r="D12">
        <v>3</v>
      </c>
    </row>
    <row r="13" spans="1:7" x14ac:dyDescent="0.3">
      <c r="A13" t="s">
        <v>121</v>
      </c>
      <c r="B13">
        <v>13</v>
      </c>
      <c r="C13">
        <v>5</v>
      </c>
      <c r="D13">
        <v>4</v>
      </c>
    </row>
    <row r="14" spans="1:7" x14ac:dyDescent="0.3">
      <c r="A14" t="s">
        <v>122</v>
      </c>
      <c r="B14">
        <v>0.65</v>
      </c>
      <c r="C14">
        <v>2.25</v>
      </c>
      <c r="D14">
        <v>5</v>
      </c>
    </row>
    <row r="15" spans="1:7" x14ac:dyDescent="0.3">
      <c r="A15" t="s">
        <v>15</v>
      </c>
      <c r="B15">
        <v>1250</v>
      </c>
      <c r="C15">
        <v>2750</v>
      </c>
      <c r="D15">
        <v>6</v>
      </c>
    </row>
    <row r="16" spans="1:7" x14ac:dyDescent="0.3">
      <c r="A16" t="s">
        <v>28</v>
      </c>
      <c r="B16">
        <v>300</v>
      </c>
      <c r="C16">
        <v>1050</v>
      </c>
      <c r="D16">
        <v>7</v>
      </c>
    </row>
    <row r="17" spans="1:4" x14ac:dyDescent="0.3">
      <c r="A17" t="s">
        <v>16</v>
      </c>
      <c r="B17">
        <v>240</v>
      </c>
      <c r="C17">
        <v>2340</v>
      </c>
      <c r="D17">
        <v>8</v>
      </c>
    </row>
    <row r="18" spans="1:4" x14ac:dyDescent="0.3">
      <c r="A18" t="s">
        <v>26</v>
      </c>
      <c r="B18">
        <v>100</v>
      </c>
      <c r="C18">
        <v>1025</v>
      </c>
      <c r="D18">
        <v>9</v>
      </c>
    </row>
    <row r="19" spans="1:4" x14ac:dyDescent="0.3">
      <c r="A19" t="s">
        <v>73</v>
      </c>
      <c r="B19">
        <v>150</v>
      </c>
      <c r="C19">
        <v>205</v>
      </c>
      <c r="D19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11AF6-1DF4-4632-909E-87EF978CB542}">
  <dimension ref="A1:I88"/>
  <sheetViews>
    <sheetView zoomScaleNormal="100" workbookViewId="0">
      <selection activeCell="H9" sqref="H9"/>
    </sheetView>
  </sheetViews>
  <sheetFormatPr defaultRowHeight="15.6" x14ac:dyDescent="0.3"/>
  <cols>
    <col min="1" max="1" width="25.09765625" customWidth="1"/>
  </cols>
  <sheetData>
    <row r="1" spans="1:9" x14ac:dyDescent="0.3">
      <c r="A1" s="1" t="s">
        <v>44</v>
      </c>
      <c r="B1" s="1" t="s">
        <v>34</v>
      </c>
      <c r="C1" s="1" t="s">
        <v>46</v>
      </c>
      <c r="D1" s="1" t="s">
        <v>38</v>
      </c>
      <c r="E1" s="1"/>
      <c r="F1" s="1" t="s">
        <v>43</v>
      </c>
      <c r="H1" s="1" t="s">
        <v>34</v>
      </c>
      <c r="I1" s="1" t="s">
        <v>45</v>
      </c>
    </row>
    <row r="2" spans="1:9" x14ac:dyDescent="0.3">
      <c r="A2" t="s">
        <v>29</v>
      </c>
      <c r="B2" t="s">
        <v>35</v>
      </c>
      <c r="C2">
        <f t="shared" ref="C2:C9" si="0">VLOOKUP(B2,$H$2:$I$5,2,FALSE)</f>
        <v>13</v>
      </c>
      <c r="D2">
        <v>2.6</v>
      </c>
      <c r="F2">
        <f>D2*C2</f>
        <v>33.800000000000004</v>
      </c>
      <c r="H2" t="s">
        <v>37</v>
      </c>
      <c r="I2" s="3">
        <f>HLOOKUP('Battery Life Calculator v3'!$B$22, ModTable, 'Battery data'!D11, FALSE)</f>
        <v>175</v>
      </c>
    </row>
    <row r="3" spans="1:9" x14ac:dyDescent="0.3">
      <c r="A3" t="s">
        <v>30</v>
      </c>
      <c r="B3" t="s">
        <v>36</v>
      </c>
      <c r="C3">
        <f t="shared" si="0"/>
        <v>32</v>
      </c>
      <c r="D3">
        <v>0.4</v>
      </c>
      <c r="F3">
        <f>D3*C3</f>
        <v>12.8</v>
      </c>
      <c r="H3" t="s">
        <v>36</v>
      </c>
      <c r="I3" s="3">
        <f>HLOOKUP('Battery Life Calculator v3'!$B$22, ModTable, 'Battery data'!D12, FALSE)</f>
        <v>32</v>
      </c>
    </row>
    <row r="4" spans="1:9" x14ac:dyDescent="0.3">
      <c r="A4" t="s">
        <v>31</v>
      </c>
      <c r="B4" t="s">
        <v>37</v>
      </c>
      <c r="C4">
        <f t="shared" si="0"/>
        <v>175</v>
      </c>
      <c r="D4">
        <v>0.8</v>
      </c>
      <c r="F4">
        <f>D4*C4</f>
        <v>140</v>
      </c>
      <c r="H4" t="s">
        <v>35</v>
      </c>
      <c r="I4" s="3">
        <f>HLOOKUP('Battery Life Calculator v3'!$B$22, ModTable, 'Battery data'!D13, FALSE)</f>
        <v>13</v>
      </c>
    </row>
    <row r="5" spans="1:9" x14ac:dyDescent="0.3">
      <c r="A5" t="s">
        <v>30</v>
      </c>
      <c r="B5" t="s">
        <v>36</v>
      </c>
      <c r="C5">
        <f t="shared" si="0"/>
        <v>32</v>
      </c>
      <c r="D5">
        <v>0.8</v>
      </c>
      <c r="F5">
        <f>D5*C5</f>
        <v>25.6</v>
      </c>
      <c r="H5" t="s">
        <v>33</v>
      </c>
      <c r="I5" s="3">
        <f>HLOOKUP('Battery Life Calculator v3'!$B$22, ModTable, 'Battery data'!D14, FALSE)</f>
        <v>0.65</v>
      </c>
    </row>
    <row r="6" spans="1:9" x14ac:dyDescent="0.3">
      <c r="A6" t="s">
        <v>32</v>
      </c>
      <c r="B6" t="s">
        <v>35</v>
      </c>
      <c r="C6">
        <f t="shared" si="0"/>
        <v>13</v>
      </c>
      <c r="D6">
        <v>0.6</v>
      </c>
      <c r="F6">
        <f>D6*C6</f>
        <v>7.8</v>
      </c>
    </row>
    <row r="7" spans="1:9" x14ac:dyDescent="0.3">
      <c r="A7" t="s">
        <v>92</v>
      </c>
      <c r="B7" t="s">
        <v>37</v>
      </c>
      <c r="C7">
        <f t="shared" si="0"/>
        <v>175</v>
      </c>
      <c r="D7">
        <f>SUMIF(B$2:B$6,B7,D$2:D$6)</f>
        <v>0.8</v>
      </c>
      <c r="F7">
        <f t="shared" ref="F7:F9" si="1">D7*C7</f>
        <v>140</v>
      </c>
    </row>
    <row r="8" spans="1:9" x14ac:dyDescent="0.3">
      <c r="A8" t="s">
        <v>93</v>
      </c>
      <c r="B8" t="s">
        <v>36</v>
      </c>
      <c r="C8">
        <f t="shared" si="0"/>
        <v>32</v>
      </c>
      <c r="D8">
        <f t="shared" ref="D8:D9" si="2">SUMIF(B$2:B$6,B8,D$2:D$6)</f>
        <v>1.2000000000000002</v>
      </c>
      <c r="F8">
        <f t="shared" si="1"/>
        <v>38.400000000000006</v>
      </c>
    </row>
    <row r="9" spans="1:9" x14ac:dyDescent="0.3">
      <c r="A9" t="s">
        <v>94</v>
      </c>
      <c r="B9" t="s">
        <v>35</v>
      </c>
      <c r="C9">
        <f t="shared" si="0"/>
        <v>13</v>
      </c>
      <c r="D9">
        <f t="shared" si="2"/>
        <v>3.2</v>
      </c>
      <c r="F9">
        <f t="shared" si="1"/>
        <v>41.6</v>
      </c>
    </row>
    <row r="10" spans="1:9" x14ac:dyDescent="0.3">
      <c r="A10" t="s">
        <v>95</v>
      </c>
      <c r="D10">
        <f>SUM(D7:D9)</f>
        <v>5.2</v>
      </c>
      <c r="F10">
        <f>SUM(F7:F9)</f>
        <v>220</v>
      </c>
    </row>
    <row r="12" spans="1:9" x14ac:dyDescent="0.3">
      <c r="A12" s="1" t="s">
        <v>47</v>
      </c>
      <c r="B12" s="1" t="s">
        <v>34</v>
      </c>
      <c r="C12" s="1" t="s">
        <v>46</v>
      </c>
      <c r="D12" s="1" t="s">
        <v>38</v>
      </c>
      <c r="E12" s="1" t="s">
        <v>41</v>
      </c>
      <c r="F12" s="1" t="s">
        <v>43</v>
      </c>
    </row>
    <row r="13" spans="1:9" x14ac:dyDescent="0.3">
      <c r="A13" t="s">
        <v>29</v>
      </c>
      <c r="B13" t="s">
        <v>35</v>
      </c>
      <c r="C13">
        <f t="shared" ref="C13:C25" si="3">VLOOKUP(B13,$H$2:$I$5,2,FALSE)</f>
        <v>13</v>
      </c>
      <c r="D13">
        <v>2.6</v>
      </c>
      <c r="F13">
        <f t="shared" ref="F13:F25" si="4">D13*C13</f>
        <v>33.800000000000004</v>
      </c>
    </row>
    <row r="14" spans="1:9" x14ac:dyDescent="0.3">
      <c r="A14" t="s">
        <v>30</v>
      </c>
      <c r="B14" t="s">
        <v>36</v>
      </c>
      <c r="C14">
        <f t="shared" si="3"/>
        <v>32</v>
      </c>
      <c r="D14">
        <v>0.4</v>
      </c>
      <c r="F14">
        <f t="shared" si="4"/>
        <v>12.8</v>
      </c>
    </row>
    <row r="15" spans="1:9" x14ac:dyDescent="0.3">
      <c r="A15" t="s">
        <v>31</v>
      </c>
      <c r="B15" t="s">
        <v>37</v>
      </c>
      <c r="C15">
        <f t="shared" si="3"/>
        <v>175</v>
      </c>
      <c r="D15">
        <v>0.8</v>
      </c>
      <c r="F15">
        <f t="shared" si="4"/>
        <v>140</v>
      </c>
    </row>
    <row r="16" spans="1:9" x14ac:dyDescent="0.3">
      <c r="A16" t="s">
        <v>39</v>
      </c>
      <c r="B16" t="s">
        <v>36</v>
      </c>
      <c r="C16">
        <f t="shared" si="3"/>
        <v>32</v>
      </c>
      <c r="D16">
        <f>4.2+0.032*E16</f>
        <v>4.2320000000000002</v>
      </c>
      <c r="E16">
        <f>'Battery Life Calculator v3'!$B$35</f>
        <v>1</v>
      </c>
      <c r="F16">
        <f t="shared" si="4"/>
        <v>135.42400000000001</v>
      </c>
    </row>
    <row r="17" spans="1:6" x14ac:dyDescent="0.3">
      <c r="A17" t="s">
        <v>40</v>
      </c>
      <c r="B17" t="s">
        <v>37</v>
      </c>
      <c r="C17">
        <f t="shared" si="3"/>
        <v>175</v>
      </c>
      <c r="D17">
        <v>0.6</v>
      </c>
      <c r="F17">
        <f t="shared" si="4"/>
        <v>105</v>
      </c>
    </row>
    <row r="18" spans="1:6" x14ac:dyDescent="0.3">
      <c r="A18" t="s">
        <v>32</v>
      </c>
      <c r="B18" t="s">
        <v>35</v>
      </c>
      <c r="C18">
        <f t="shared" si="3"/>
        <v>13</v>
      </c>
      <c r="D18">
        <f>2.6+0.064*E18</f>
        <v>2.6640000000000001</v>
      </c>
      <c r="E18">
        <f>'Battery Life Calculator v3'!$B$35</f>
        <v>1</v>
      </c>
      <c r="F18">
        <f t="shared" si="4"/>
        <v>34.632000000000005</v>
      </c>
    </row>
    <row r="19" spans="1:6" x14ac:dyDescent="0.3">
      <c r="A19" t="s">
        <v>30</v>
      </c>
      <c r="B19" t="s">
        <v>36</v>
      </c>
      <c r="C19">
        <f t="shared" si="3"/>
        <v>32</v>
      </c>
      <c r="D19">
        <v>0.4</v>
      </c>
      <c r="F19">
        <f t="shared" si="4"/>
        <v>12.8</v>
      </c>
    </row>
    <row r="20" spans="1:6" x14ac:dyDescent="0.3">
      <c r="A20" t="s">
        <v>90</v>
      </c>
      <c r="B20" t="s">
        <v>37</v>
      </c>
      <c r="C20">
        <f t="shared" si="3"/>
        <v>175</v>
      </c>
      <c r="D20">
        <v>2</v>
      </c>
      <c r="F20">
        <f t="shared" si="4"/>
        <v>350</v>
      </c>
    </row>
    <row r="21" spans="1:6" x14ac:dyDescent="0.3">
      <c r="A21" t="s">
        <v>30</v>
      </c>
      <c r="B21" t="s">
        <v>36</v>
      </c>
      <c r="C21">
        <f t="shared" si="3"/>
        <v>32</v>
      </c>
      <c r="D21">
        <v>0.8</v>
      </c>
      <c r="F21">
        <f t="shared" si="4"/>
        <v>25.6</v>
      </c>
    </row>
    <row r="22" spans="1:6" x14ac:dyDescent="0.3">
      <c r="A22" t="s">
        <v>32</v>
      </c>
      <c r="B22" t="s">
        <v>35</v>
      </c>
      <c r="C22">
        <f t="shared" si="3"/>
        <v>13</v>
      </c>
      <c r="D22">
        <v>0.4</v>
      </c>
      <c r="F22">
        <f t="shared" si="4"/>
        <v>5.2</v>
      </c>
    </row>
    <row r="23" spans="1:6" x14ac:dyDescent="0.3">
      <c r="A23" t="s">
        <v>92</v>
      </c>
      <c r="B23" t="s">
        <v>37</v>
      </c>
      <c r="C23">
        <f t="shared" si="3"/>
        <v>175</v>
      </c>
      <c r="D23">
        <f>SUMIF(B$13:B$22,B23,D$13:D$22)</f>
        <v>3.4</v>
      </c>
      <c r="F23">
        <f t="shared" si="4"/>
        <v>595</v>
      </c>
    </row>
    <row r="24" spans="1:6" x14ac:dyDescent="0.3">
      <c r="A24" t="s">
        <v>93</v>
      </c>
      <c r="B24" t="s">
        <v>36</v>
      </c>
      <c r="C24">
        <f t="shared" si="3"/>
        <v>32</v>
      </c>
      <c r="D24">
        <f t="shared" ref="D24:D25" si="5">SUMIF(B$13:B$22,B24,D$13:D$22)</f>
        <v>5.8320000000000007</v>
      </c>
      <c r="F24">
        <f t="shared" si="4"/>
        <v>186.62400000000002</v>
      </c>
    </row>
    <row r="25" spans="1:6" x14ac:dyDescent="0.3">
      <c r="A25" t="s">
        <v>94</v>
      </c>
      <c r="B25" t="s">
        <v>35</v>
      </c>
      <c r="C25">
        <f t="shared" si="3"/>
        <v>13</v>
      </c>
      <c r="D25">
        <f t="shared" si="5"/>
        <v>5.6640000000000006</v>
      </c>
      <c r="F25">
        <f t="shared" si="4"/>
        <v>73.632000000000005</v>
      </c>
    </row>
    <row r="26" spans="1:6" x14ac:dyDescent="0.3">
      <c r="A26" t="s">
        <v>95</v>
      </c>
      <c r="D26">
        <f>SUM(D23:D25)</f>
        <v>14.896000000000001</v>
      </c>
      <c r="F26">
        <f>SUM(F23:F25)</f>
        <v>855.25600000000009</v>
      </c>
    </row>
    <row r="28" spans="1:6" x14ac:dyDescent="0.3">
      <c r="A28" s="1" t="s">
        <v>48</v>
      </c>
      <c r="B28" s="1" t="s">
        <v>34</v>
      </c>
      <c r="C28" s="1" t="s">
        <v>46</v>
      </c>
      <c r="D28" s="1" t="s">
        <v>38</v>
      </c>
      <c r="E28" s="1" t="s">
        <v>41</v>
      </c>
      <c r="F28" s="1" t="s">
        <v>43</v>
      </c>
    </row>
    <row r="29" spans="1:6" x14ac:dyDescent="0.3">
      <c r="A29" t="s">
        <v>29</v>
      </c>
      <c r="B29" t="s">
        <v>35</v>
      </c>
      <c r="C29">
        <f>VLOOKUP(B29,$H$2:$I$5,2,FALSE)</f>
        <v>13</v>
      </c>
      <c r="D29">
        <v>5</v>
      </c>
      <c r="F29">
        <f>C29*D29</f>
        <v>65</v>
      </c>
    </row>
    <row r="30" spans="1:6" x14ac:dyDescent="0.3">
      <c r="A30" t="s">
        <v>30</v>
      </c>
      <c r="B30" t="s">
        <v>36</v>
      </c>
      <c r="C30">
        <f>VLOOKUP(B30,$H$2:$I$5,2,FALSE)</f>
        <v>32</v>
      </c>
      <c r="D30">
        <v>0.4</v>
      </c>
      <c r="F30">
        <f t="shared" ref="F30:F33" si="6">C30*D30</f>
        <v>12.8</v>
      </c>
    </row>
    <row r="31" spans="1:6" x14ac:dyDescent="0.3">
      <c r="A31" t="s">
        <v>42</v>
      </c>
      <c r="B31" t="s">
        <v>37</v>
      </c>
      <c r="C31">
        <f>VLOOKUP(B31,$H$2:$I$5,2,FALSE)</f>
        <v>175</v>
      </c>
      <c r="D31">
        <f>1.8+0.032*E31</f>
        <v>2.44</v>
      </c>
      <c r="E31">
        <f>'Battery Life Calculator v3'!B41</f>
        <v>20</v>
      </c>
      <c r="F31">
        <f t="shared" si="6"/>
        <v>427</v>
      </c>
    </row>
    <row r="32" spans="1:6" x14ac:dyDescent="0.3">
      <c r="A32" t="s">
        <v>30</v>
      </c>
      <c r="B32" t="s">
        <v>36</v>
      </c>
      <c r="C32">
        <f>VLOOKUP(B32,$H$2:$I$5,2,FALSE)</f>
        <v>32</v>
      </c>
      <c r="D32">
        <v>0.8</v>
      </c>
      <c r="F32">
        <f t="shared" si="6"/>
        <v>25.6</v>
      </c>
    </row>
    <row r="33" spans="1:6" x14ac:dyDescent="0.3">
      <c r="A33" t="s">
        <v>35</v>
      </c>
      <c r="B33" t="s">
        <v>35</v>
      </c>
      <c r="C33">
        <f>VLOOKUP(B33,$H$2:$I$5,2,FALSE)</f>
        <v>13</v>
      </c>
      <c r="D33">
        <v>0.4</v>
      </c>
      <c r="F33">
        <f t="shared" si="6"/>
        <v>5.2</v>
      </c>
    </row>
    <row r="34" spans="1:6" x14ac:dyDescent="0.3">
      <c r="A34" t="s">
        <v>92</v>
      </c>
      <c r="B34" t="s">
        <v>37</v>
      </c>
      <c r="C34">
        <f t="shared" ref="C34:C36" si="7">VLOOKUP(B34,$H$2:$I$5,2,FALSE)</f>
        <v>175</v>
      </c>
      <c r="D34">
        <f>SUMIF(B$29:B$33,B34,D$29:D$33)</f>
        <v>2.44</v>
      </c>
      <c r="F34">
        <f t="shared" ref="F34:F36" si="8">D34*C34</f>
        <v>427</v>
      </c>
    </row>
    <row r="35" spans="1:6" x14ac:dyDescent="0.3">
      <c r="A35" t="s">
        <v>93</v>
      </c>
      <c r="B35" t="s">
        <v>36</v>
      </c>
      <c r="C35">
        <f t="shared" si="7"/>
        <v>32</v>
      </c>
      <c r="D35">
        <f>SUMIF(B$29:B$33,B35,D$29:D$33)</f>
        <v>1.2000000000000002</v>
      </c>
      <c r="F35">
        <f t="shared" si="8"/>
        <v>38.400000000000006</v>
      </c>
    </row>
    <row r="36" spans="1:6" x14ac:dyDescent="0.3">
      <c r="A36" t="s">
        <v>94</v>
      </c>
      <c r="B36" t="s">
        <v>35</v>
      </c>
      <c r="C36">
        <f t="shared" si="7"/>
        <v>13</v>
      </c>
      <c r="D36">
        <f>SUMIF(B$29:B$33,B36,D$29:D$33)</f>
        <v>5.4</v>
      </c>
      <c r="F36">
        <f t="shared" si="8"/>
        <v>70.2</v>
      </c>
    </row>
    <row r="37" spans="1:6" x14ac:dyDescent="0.3">
      <c r="A37" t="s">
        <v>95</v>
      </c>
      <c r="D37">
        <f>SUM(D34:D36)</f>
        <v>9.0400000000000009</v>
      </c>
      <c r="F37">
        <f>SUM(F34:F36)</f>
        <v>535.6</v>
      </c>
    </row>
    <row r="39" spans="1:6" x14ac:dyDescent="0.3">
      <c r="A39" s="1" t="s">
        <v>89</v>
      </c>
      <c r="B39" s="1" t="s">
        <v>34</v>
      </c>
      <c r="C39" s="1" t="s">
        <v>46</v>
      </c>
      <c r="D39" s="1" t="s">
        <v>38</v>
      </c>
      <c r="E39" s="1" t="s">
        <v>41</v>
      </c>
      <c r="F39" s="1" t="s">
        <v>43</v>
      </c>
    </row>
    <row r="40" spans="1:6" x14ac:dyDescent="0.3">
      <c r="A40" t="s">
        <v>29</v>
      </c>
      <c r="B40" t="s">
        <v>35</v>
      </c>
      <c r="C40">
        <f t="shared" ref="C40:C46" si="9">VLOOKUP(B40,$H$2:$I$5,2,FALSE)</f>
        <v>13</v>
      </c>
      <c r="D40">
        <v>4</v>
      </c>
      <c r="F40">
        <f>C40*D40</f>
        <v>52</v>
      </c>
    </row>
    <row r="41" spans="1:6" x14ac:dyDescent="0.3">
      <c r="A41" t="s">
        <v>91</v>
      </c>
      <c r="B41" t="s">
        <v>37</v>
      </c>
      <c r="C41">
        <f t="shared" si="9"/>
        <v>175</v>
      </c>
      <c r="D41">
        <v>2</v>
      </c>
      <c r="F41">
        <f t="shared" ref="F41:F46" si="10">C41*D41</f>
        <v>350</v>
      </c>
    </row>
    <row r="42" spans="1:6" x14ac:dyDescent="0.3">
      <c r="A42" t="s">
        <v>30</v>
      </c>
      <c r="B42" t="s">
        <v>36</v>
      </c>
      <c r="C42">
        <f t="shared" si="9"/>
        <v>32</v>
      </c>
      <c r="D42">
        <v>0.8</v>
      </c>
      <c r="F42">
        <f t="shared" si="10"/>
        <v>25.6</v>
      </c>
    </row>
    <row r="43" spans="1:6" x14ac:dyDescent="0.3">
      <c r="A43" t="s">
        <v>32</v>
      </c>
      <c r="B43" t="s">
        <v>35</v>
      </c>
      <c r="C43">
        <f t="shared" si="9"/>
        <v>13</v>
      </c>
      <c r="D43">
        <v>4.8</v>
      </c>
      <c r="F43">
        <f t="shared" si="10"/>
        <v>62.4</v>
      </c>
    </row>
    <row r="44" spans="1:6" x14ac:dyDescent="0.3">
      <c r="A44" t="s">
        <v>92</v>
      </c>
      <c r="B44" t="s">
        <v>37</v>
      </c>
      <c r="C44">
        <f t="shared" si="9"/>
        <v>175</v>
      </c>
      <c r="D44">
        <f>SUMIF(B$40:B$43,B44,D$40:D$43)</f>
        <v>2</v>
      </c>
      <c r="F44">
        <f t="shared" si="10"/>
        <v>350</v>
      </c>
    </row>
    <row r="45" spans="1:6" x14ac:dyDescent="0.3">
      <c r="A45" t="s">
        <v>93</v>
      </c>
      <c r="B45" t="s">
        <v>36</v>
      </c>
      <c r="C45">
        <f t="shared" si="9"/>
        <v>32</v>
      </c>
      <c r="D45">
        <f t="shared" ref="D45:D46" si="11">SUMIF(B$40:B$43,B45,D$40:D$43)</f>
        <v>0.8</v>
      </c>
      <c r="F45">
        <f t="shared" si="10"/>
        <v>25.6</v>
      </c>
    </row>
    <row r="46" spans="1:6" x14ac:dyDescent="0.3">
      <c r="A46" t="s">
        <v>94</v>
      </c>
      <c r="B46" t="s">
        <v>35</v>
      </c>
      <c r="C46">
        <f t="shared" si="9"/>
        <v>13</v>
      </c>
      <c r="D46">
        <f t="shared" si="11"/>
        <v>8.8000000000000007</v>
      </c>
      <c r="F46">
        <f t="shared" si="10"/>
        <v>114.4</v>
      </c>
    </row>
    <row r="47" spans="1:6" x14ac:dyDescent="0.3">
      <c r="A47" t="s">
        <v>95</v>
      </c>
      <c r="D47">
        <f>SUM(D44:D46)</f>
        <v>11.600000000000001</v>
      </c>
      <c r="F47">
        <f>SUM(F44:F46)</f>
        <v>490</v>
      </c>
    </row>
    <row r="49" spans="1:6" x14ac:dyDescent="0.3">
      <c r="A49" s="1" t="s">
        <v>96</v>
      </c>
    </row>
    <row r="50" spans="1:6" x14ac:dyDescent="0.3">
      <c r="A50" t="s">
        <v>29</v>
      </c>
      <c r="B50" t="s">
        <v>35</v>
      </c>
      <c r="C50">
        <f t="shared" ref="C50:C65" si="12">VLOOKUP(B50,$H$2:$I$5,2,FALSE)</f>
        <v>13</v>
      </c>
      <c r="D50">
        <v>4</v>
      </c>
      <c r="F50">
        <f>C50*D50</f>
        <v>52</v>
      </c>
    </row>
    <row r="51" spans="1:6" x14ac:dyDescent="0.3">
      <c r="A51" t="s">
        <v>30</v>
      </c>
      <c r="B51" t="s">
        <v>36</v>
      </c>
      <c r="C51">
        <f t="shared" si="12"/>
        <v>32</v>
      </c>
      <c r="D51">
        <v>0.4</v>
      </c>
      <c r="F51">
        <f t="shared" ref="F51:F65" si="13">C51*D51</f>
        <v>12.8</v>
      </c>
    </row>
    <row r="52" spans="1:6" x14ac:dyDescent="0.3">
      <c r="A52" t="s">
        <v>97</v>
      </c>
      <c r="B52" t="s">
        <v>37</v>
      </c>
      <c r="C52">
        <f t="shared" si="12"/>
        <v>175</v>
      </c>
      <c r="D52">
        <v>0.8</v>
      </c>
      <c r="F52">
        <f t="shared" si="13"/>
        <v>140</v>
      </c>
    </row>
    <row r="53" spans="1:6" x14ac:dyDescent="0.3">
      <c r="A53" t="s">
        <v>32</v>
      </c>
      <c r="B53" t="s">
        <v>35</v>
      </c>
      <c r="C53">
        <f t="shared" si="12"/>
        <v>13</v>
      </c>
      <c r="D53">
        <v>0.2</v>
      </c>
      <c r="F53">
        <f t="shared" si="13"/>
        <v>2.6</v>
      </c>
    </row>
    <row r="54" spans="1:6" x14ac:dyDescent="0.3">
      <c r="A54" t="s">
        <v>96</v>
      </c>
      <c r="B54" t="s">
        <v>36</v>
      </c>
      <c r="C54">
        <f t="shared" si="12"/>
        <v>32</v>
      </c>
      <c r="D54">
        <v>5</v>
      </c>
      <c r="F54">
        <f t="shared" si="13"/>
        <v>160</v>
      </c>
    </row>
    <row r="55" spans="1:6" x14ac:dyDescent="0.3">
      <c r="A55" t="s">
        <v>32</v>
      </c>
      <c r="B55" t="s">
        <v>35</v>
      </c>
      <c r="C55">
        <f t="shared" si="12"/>
        <v>13</v>
      </c>
      <c r="D55">
        <v>0.2</v>
      </c>
      <c r="F55">
        <f>C55*D55</f>
        <v>2.6</v>
      </c>
    </row>
    <row r="56" spans="1:6" x14ac:dyDescent="0.3">
      <c r="A56" t="s">
        <v>98</v>
      </c>
      <c r="B56" t="s">
        <v>37</v>
      </c>
      <c r="C56">
        <f t="shared" si="12"/>
        <v>175</v>
      </c>
      <c r="D56">
        <v>0.6</v>
      </c>
      <c r="F56">
        <f t="shared" si="13"/>
        <v>105</v>
      </c>
    </row>
    <row r="57" spans="1:6" x14ac:dyDescent="0.3">
      <c r="A57" t="s">
        <v>30</v>
      </c>
      <c r="B57" t="s">
        <v>36</v>
      </c>
      <c r="C57">
        <f t="shared" si="12"/>
        <v>32</v>
      </c>
      <c r="D57">
        <v>0.6</v>
      </c>
      <c r="F57">
        <f t="shared" si="13"/>
        <v>19.2</v>
      </c>
    </row>
    <row r="58" spans="1:6" x14ac:dyDescent="0.3">
      <c r="A58" t="s">
        <v>32</v>
      </c>
      <c r="B58" t="s">
        <v>35</v>
      </c>
      <c r="C58">
        <f t="shared" si="12"/>
        <v>13</v>
      </c>
      <c r="D58">
        <v>2.4</v>
      </c>
      <c r="F58">
        <f t="shared" si="13"/>
        <v>31.2</v>
      </c>
    </row>
    <row r="59" spans="1:6" x14ac:dyDescent="0.3">
      <c r="A59" t="s">
        <v>30</v>
      </c>
      <c r="B59" t="s">
        <v>36</v>
      </c>
      <c r="C59">
        <f t="shared" si="12"/>
        <v>32</v>
      </c>
      <c r="D59">
        <v>0.4</v>
      </c>
      <c r="F59">
        <f t="shared" si="13"/>
        <v>12.8</v>
      </c>
    </row>
    <row r="60" spans="1:6" x14ac:dyDescent="0.3">
      <c r="A60" t="s">
        <v>97</v>
      </c>
      <c r="B60" t="s">
        <v>37</v>
      </c>
      <c r="C60">
        <f t="shared" si="12"/>
        <v>175</v>
      </c>
      <c r="D60">
        <v>0.8</v>
      </c>
      <c r="F60">
        <f t="shared" si="13"/>
        <v>140</v>
      </c>
    </row>
    <row r="61" spans="1:6" x14ac:dyDescent="0.3">
      <c r="A61" t="s">
        <v>30</v>
      </c>
      <c r="B61" t="s">
        <v>36</v>
      </c>
      <c r="C61">
        <f t="shared" si="12"/>
        <v>32</v>
      </c>
      <c r="D61">
        <v>0.8</v>
      </c>
      <c r="F61">
        <f t="shared" si="13"/>
        <v>25.6</v>
      </c>
    </row>
    <row r="62" spans="1:6" x14ac:dyDescent="0.3">
      <c r="A62" t="s">
        <v>32</v>
      </c>
      <c r="B62" t="s">
        <v>35</v>
      </c>
      <c r="C62">
        <f t="shared" si="12"/>
        <v>13</v>
      </c>
      <c r="D62">
        <v>3</v>
      </c>
      <c r="F62">
        <f t="shared" si="13"/>
        <v>39</v>
      </c>
    </row>
    <row r="63" spans="1:6" x14ac:dyDescent="0.3">
      <c r="A63" t="s">
        <v>92</v>
      </c>
      <c r="B63" t="s">
        <v>37</v>
      </c>
      <c r="C63">
        <f t="shared" si="12"/>
        <v>175</v>
      </c>
      <c r="D63">
        <f>SUMIF(B$50:B$62,B63,D$50:D$62)</f>
        <v>2.2000000000000002</v>
      </c>
      <c r="F63">
        <f t="shared" si="13"/>
        <v>385.00000000000006</v>
      </c>
    </row>
    <row r="64" spans="1:6" x14ac:dyDescent="0.3">
      <c r="A64" t="s">
        <v>93</v>
      </c>
      <c r="B64" t="s">
        <v>36</v>
      </c>
      <c r="C64">
        <f t="shared" si="12"/>
        <v>32</v>
      </c>
      <c r="D64">
        <f t="shared" ref="D64:D65" si="14">SUMIF(B$50:B$62,B64,D$50:D$62)</f>
        <v>7.2</v>
      </c>
      <c r="F64">
        <f t="shared" si="13"/>
        <v>230.4</v>
      </c>
    </row>
    <row r="65" spans="1:6" x14ac:dyDescent="0.3">
      <c r="A65" t="s">
        <v>94</v>
      </c>
      <c r="B65" t="s">
        <v>35</v>
      </c>
      <c r="C65">
        <f t="shared" si="12"/>
        <v>13</v>
      </c>
      <c r="D65">
        <f t="shared" si="14"/>
        <v>9.8000000000000007</v>
      </c>
      <c r="F65">
        <f t="shared" si="13"/>
        <v>127.4</v>
      </c>
    </row>
    <row r="66" spans="1:6" x14ac:dyDescent="0.3">
      <c r="A66" t="s">
        <v>95</v>
      </c>
      <c r="D66">
        <f>SUM(D63:D65)</f>
        <v>19.200000000000003</v>
      </c>
      <c r="F66">
        <f>SUM(F63:F65)</f>
        <v>742.80000000000007</v>
      </c>
    </row>
    <row r="68" spans="1:6" x14ac:dyDescent="0.3">
      <c r="A68" s="1" t="s">
        <v>101</v>
      </c>
    </row>
    <row r="69" spans="1:6" x14ac:dyDescent="0.3">
      <c r="A69" t="s">
        <v>29</v>
      </c>
      <c r="B69" t="s">
        <v>35</v>
      </c>
      <c r="C69">
        <f t="shared" ref="C69:C87" si="15">VLOOKUP(B69,$H$2:$I$5,2,FALSE)</f>
        <v>13</v>
      </c>
      <c r="D69">
        <v>5</v>
      </c>
      <c r="F69">
        <f>C69*D69</f>
        <v>65</v>
      </c>
    </row>
    <row r="70" spans="1:6" x14ac:dyDescent="0.3">
      <c r="A70" t="s">
        <v>30</v>
      </c>
      <c r="B70" t="s">
        <v>36</v>
      </c>
      <c r="C70">
        <f t="shared" si="15"/>
        <v>32</v>
      </c>
      <c r="D70">
        <v>0.4</v>
      </c>
      <c r="F70">
        <f t="shared" ref="F70:F87" si="16">C70*D70</f>
        <v>12.8</v>
      </c>
    </row>
    <row r="71" spans="1:6" x14ac:dyDescent="0.3">
      <c r="A71" t="s">
        <v>97</v>
      </c>
      <c r="B71" t="s">
        <v>37</v>
      </c>
      <c r="C71">
        <f t="shared" si="15"/>
        <v>175</v>
      </c>
      <c r="D71">
        <v>0.8</v>
      </c>
      <c r="F71">
        <f t="shared" si="16"/>
        <v>140</v>
      </c>
    </row>
    <row r="72" spans="1:6" x14ac:dyDescent="0.3">
      <c r="A72" t="s">
        <v>99</v>
      </c>
      <c r="B72" t="s">
        <v>36</v>
      </c>
      <c r="C72">
        <f t="shared" si="15"/>
        <v>32</v>
      </c>
      <c r="D72">
        <v>7</v>
      </c>
      <c r="F72">
        <f t="shared" si="16"/>
        <v>224</v>
      </c>
    </row>
    <row r="73" spans="1:6" x14ac:dyDescent="0.3">
      <c r="A73" t="s">
        <v>32</v>
      </c>
      <c r="B73" t="s">
        <v>35</v>
      </c>
      <c r="C73">
        <f t="shared" si="15"/>
        <v>13</v>
      </c>
      <c r="D73">
        <v>0.2</v>
      </c>
      <c r="F73">
        <f t="shared" si="16"/>
        <v>2.6</v>
      </c>
    </row>
    <row r="74" spans="1:6" x14ac:dyDescent="0.3">
      <c r="A74" t="s">
        <v>98</v>
      </c>
      <c r="B74" t="s">
        <v>37</v>
      </c>
      <c r="C74">
        <f t="shared" si="15"/>
        <v>175</v>
      </c>
      <c r="D74">
        <v>0.6</v>
      </c>
      <c r="F74">
        <f t="shared" si="16"/>
        <v>105</v>
      </c>
    </row>
    <row r="75" spans="1:6" x14ac:dyDescent="0.3">
      <c r="A75" t="s">
        <v>30</v>
      </c>
      <c r="B75" t="s">
        <v>36</v>
      </c>
      <c r="C75">
        <f t="shared" si="15"/>
        <v>32</v>
      </c>
      <c r="D75">
        <v>0.2</v>
      </c>
      <c r="F75">
        <f t="shared" si="16"/>
        <v>6.4</v>
      </c>
    </row>
    <row r="76" spans="1:6" x14ac:dyDescent="0.3">
      <c r="A76" t="s">
        <v>32</v>
      </c>
      <c r="B76" t="s">
        <v>35</v>
      </c>
      <c r="C76">
        <f t="shared" si="15"/>
        <v>13</v>
      </c>
      <c r="D76">
        <v>1</v>
      </c>
      <c r="F76">
        <f t="shared" si="16"/>
        <v>13</v>
      </c>
    </row>
    <row r="77" spans="1:6" x14ac:dyDescent="0.3">
      <c r="A77" t="s">
        <v>30</v>
      </c>
      <c r="B77" t="s">
        <v>36</v>
      </c>
      <c r="C77">
        <f t="shared" si="15"/>
        <v>32</v>
      </c>
      <c r="D77">
        <v>0.4</v>
      </c>
      <c r="F77">
        <f t="shared" si="16"/>
        <v>12.8</v>
      </c>
    </row>
    <row r="78" spans="1:6" x14ac:dyDescent="0.3">
      <c r="A78" t="s">
        <v>97</v>
      </c>
      <c r="B78" t="s">
        <v>37</v>
      </c>
      <c r="C78">
        <f t="shared" si="15"/>
        <v>175</v>
      </c>
      <c r="D78">
        <v>0.8</v>
      </c>
      <c r="F78">
        <f t="shared" si="16"/>
        <v>140</v>
      </c>
    </row>
    <row r="79" spans="1:6" x14ac:dyDescent="0.3">
      <c r="A79" t="s">
        <v>30</v>
      </c>
      <c r="B79" t="s">
        <v>36</v>
      </c>
      <c r="C79">
        <f t="shared" si="15"/>
        <v>32</v>
      </c>
      <c r="D79">
        <v>0.8</v>
      </c>
      <c r="F79">
        <f t="shared" si="16"/>
        <v>25.6</v>
      </c>
    </row>
    <row r="80" spans="1:6" x14ac:dyDescent="0.3">
      <c r="A80" t="s">
        <v>32</v>
      </c>
      <c r="B80" t="s">
        <v>35</v>
      </c>
      <c r="C80">
        <f t="shared" si="15"/>
        <v>13</v>
      </c>
      <c r="D80">
        <v>9</v>
      </c>
      <c r="F80">
        <f t="shared" si="16"/>
        <v>117</v>
      </c>
    </row>
    <row r="81" spans="1:6" x14ac:dyDescent="0.3">
      <c r="A81" t="s">
        <v>30</v>
      </c>
      <c r="B81" t="s">
        <v>36</v>
      </c>
      <c r="C81">
        <f t="shared" si="15"/>
        <v>32</v>
      </c>
      <c r="D81">
        <v>0.4</v>
      </c>
      <c r="F81">
        <f t="shared" si="16"/>
        <v>12.8</v>
      </c>
    </row>
    <row r="82" spans="1:6" x14ac:dyDescent="0.3">
      <c r="A82" t="s">
        <v>100</v>
      </c>
      <c r="B82" t="s">
        <v>37</v>
      </c>
      <c r="C82">
        <f t="shared" si="15"/>
        <v>175</v>
      </c>
      <c r="D82">
        <v>1.6</v>
      </c>
      <c r="F82">
        <f t="shared" si="16"/>
        <v>280</v>
      </c>
    </row>
    <row r="83" spans="1:6" x14ac:dyDescent="0.3">
      <c r="A83" t="s">
        <v>30</v>
      </c>
      <c r="B83" t="s">
        <v>36</v>
      </c>
      <c r="C83">
        <f t="shared" si="15"/>
        <v>32</v>
      </c>
      <c r="D83">
        <v>0.8</v>
      </c>
      <c r="F83">
        <f t="shared" si="16"/>
        <v>25.6</v>
      </c>
    </row>
    <row r="84" spans="1:6" x14ac:dyDescent="0.3">
      <c r="A84" t="s">
        <v>32</v>
      </c>
      <c r="B84" t="s">
        <v>35</v>
      </c>
      <c r="C84">
        <f t="shared" si="15"/>
        <v>13</v>
      </c>
      <c r="D84">
        <v>6</v>
      </c>
      <c r="F84">
        <f t="shared" si="16"/>
        <v>78</v>
      </c>
    </row>
    <row r="85" spans="1:6" x14ac:dyDescent="0.3">
      <c r="A85" t="s">
        <v>92</v>
      </c>
      <c r="B85" t="s">
        <v>37</v>
      </c>
      <c r="C85">
        <f t="shared" si="15"/>
        <v>175</v>
      </c>
      <c r="D85">
        <f>SUMIF(B$69:B$84,B85,D$69:D$84)</f>
        <v>3.8000000000000003</v>
      </c>
      <c r="F85">
        <f t="shared" si="16"/>
        <v>665</v>
      </c>
    </row>
    <row r="86" spans="1:6" x14ac:dyDescent="0.3">
      <c r="A86" t="s">
        <v>93</v>
      </c>
      <c r="B86" t="s">
        <v>36</v>
      </c>
      <c r="C86">
        <f t="shared" si="15"/>
        <v>32</v>
      </c>
      <c r="D86">
        <f t="shared" ref="D86:D87" si="17">SUMIF(B$69:B$84,B86,D$69:D$84)</f>
        <v>10.000000000000002</v>
      </c>
      <c r="F86">
        <f t="shared" si="16"/>
        <v>320.00000000000006</v>
      </c>
    </row>
    <row r="87" spans="1:6" x14ac:dyDescent="0.3">
      <c r="A87" t="s">
        <v>94</v>
      </c>
      <c r="B87" t="s">
        <v>35</v>
      </c>
      <c r="C87">
        <f t="shared" si="15"/>
        <v>13</v>
      </c>
      <c r="D87">
        <f t="shared" si="17"/>
        <v>21.2</v>
      </c>
      <c r="F87">
        <f t="shared" si="16"/>
        <v>275.59999999999997</v>
      </c>
    </row>
    <row r="88" spans="1:6" x14ac:dyDescent="0.3">
      <c r="A88" t="s">
        <v>95</v>
      </c>
      <c r="D88">
        <f>SUM(D85:D87)</f>
        <v>35</v>
      </c>
      <c r="F88">
        <f>SUM(F85:F87)</f>
        <v>1260.5999999999999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Battery Life Calculator v3</vt:lpstr>
      <vt:lpstr>Battery data</vt:lpstr>
      <vt:lpstr>Event charge calculations</vt:lpstr>
      <vt:lpstr>BatTable</vt:lpstr>
      <vt:lpstr>Batteries</vt:lpstr>
      <vt:lpstr>ModTable</vt:lpstr>
      <vt:lpstr>Modules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Alguire</dc:creator>
  <cp:lastModifiedBy>OwenT</cp:lastModifiedBy>
  <dcterms:created xsi:type="dcterms:W3CDTF">2017-03-06T21:29:22Z</dcterms:created>
  <dcterms:modified xsi:type="dcterms:W3CDTF">2017-10-16T13:21:14Z</dcterms:modified>
</cp:coreProperties>
</file>